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-2" sheetId="3" r:id="rId3"/>
    <sheet name="січень" sheetId="4" r:id="rId4"/>
  </sheets>
  <definedNames>
    <definedName name="_xlnm.Print_Area" localSheetId="3">'січень'!$A$1:$R$87</definedName>
  </definedNames>
  <calcPr fullCalcOnLoad="1"/>
</workbook>
</file>

<file path=xl/sharedStrings.xml><?xml version="1.0" encoding="utf-8"?>
<sst xmlns="http://schemas.openxmlformats.org/spreadsheetml/2006/main" count="502" uniqueCount="150">
  <si>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</si>
  <si>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</si>
  <si>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</si>
  <si>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</si>
  <si>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</si>
  <si>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</si>
  <si>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</si>
  <si>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</si>
  <si>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</si>
  <si>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</si>
  <si>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</si>
  <si>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</si>
  <si>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</si>
  <si>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</si>
  <si>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</si>
  <si>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</si>
  <si>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</si>
  <si>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</si>
  <si>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</si>
  <si>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</si>
  <si>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</si>
  <si>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</si>
  <si>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</si>
  <si>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</si>
  <si>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</si>
  <si>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</si>
  <si>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</si>
  <si>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</si>
  <si>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</si>
  <si>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</si>
  <si>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</si>
  <si>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</si>
  <si>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</si>
  <si>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</si>
  <si>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</si>
  <si>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</si>
  <si>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</si>
  <si>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</si>
  <si>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</si>
  <si>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</si>
  <si>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</si>
  <si>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</si>
  <si>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</si>
  <si>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</si>
  <si>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</si>
  <si>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</si>
  <si>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</si>
  <si>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</si>
  <si>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</si>
  <si>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</si>
  <si>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</si>
  <si>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</si>
  <si>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</si>
  <si>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</si>
  <si>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</si>
  <si>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</si>
  <si>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</si>
  <si>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</si>
  <si>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</si>
  <si>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</si>
  <si>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</si>
  <si>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</si>
  <si>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</si>
  <si>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</si>
  <si>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</si>
  <si>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</si>
  <si>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</si>
  <si>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</si>
  <si>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</si>
  <si>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</si>
  <si>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</si>
  <si>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</si>
  <si>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</si>
  <si>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</si>
  <si>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</si>
  <si>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</si>
  <si>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</si>
  <si>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</si>
  <si>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</si>
  <si>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</si>
  <si>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</si>
  <si>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</si>
  <si>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</si>
  <si>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</si>
  <si>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</si>
  <si>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</si>
  <si>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</si>
  <si>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</si>
  <si>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</si>
  <si>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</si>
  <si>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</si>
  <si>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</si>
  <si>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</si>
  <si>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</si>
  <si>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</si>
  <si>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</si>
  <si>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</si>
  <si>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</si>
  <si>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</si>
  <si>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</si>
  <si>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</si>
  <si>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</si>
  <si>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</si>
  <si>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</si>
  <si>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</si>
  <si>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</si>
  <si>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</si>
  <si>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</si>
  <si>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</si>
  <si>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</si>
  <si>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</si>
  <si>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</si>
  <si>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</si>
  <si>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</si>
  <si>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</si>
  <si>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</si>
  <si>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</si>
  <si>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</si>
  <si>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</si>
  <si>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</si>
  <si>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</si>
  <si>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</si>
  <si>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</si>
  <si>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</si>
  <si>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</si>
  <si>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</si>
  <si>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</si>
  <si>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</si>
  <si>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</si>
  <si>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</si>
  <si>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</si>
  <si>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</si>
  <si>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</si>
  <si>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</si>
  <si>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</si>
  <si>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</si>
  <si>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</si>
  <si>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</si>
  <si>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</si>
  <si>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</si>
  <si>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</si>
  <si>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</si>
  <si>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</si>
  <si>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</si>
  <si>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</si>
  <si>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</si>
  <si>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</si>
  <si>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</si>
  <si>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29.03.2016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</si>
  <si>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28.03.16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</si>
</sst>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7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6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3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4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13" borderId="18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7"/>
  <sheetViews>
    <sheetView tabSelected="1" zoomScale="82" zoomScaleNormal="82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8" sqref="D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187" t="s">
        <v>148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/>
      <c r="C3" s="192" t="s">
        <v>0</v>
      </c>
      <c r="D3" s="193" t="s">
        <v>121</v>
      </c>
      <c r="E3" s="34"/>
      <c r="F3" s="194" t="s">
        <v>26</v>
      </c>
      <c r="G3" s="195"/>
      <c r="H3" s="195"/>
      <c r="I3" s="195"/>
      <c r="J3" s="196"/>
      <c r="K3" s="89"/>
      <c r="L3" s="89"/>
      <c r="M3" s="197" t="s">
        <v>147</v>
      </c>
      <c r="N3" s="200" t="s">
        <v>143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146</v>
      </c>
      <c r="F4" s="203" t="s">
        <v>34</v>
      </c>
      <c r="G4" s="205" t="s">
        <v>141</v>
      </c>
      <c r="H4" s="198" t="s">
        <v>142</v>
      </c>
      <c r="I4" s="205" t="s">
        <v>122</v>
      </c>
      <c r="J4" s="198" t="s">
        <v>123</v>
      </c>
      <c r="K4" s="91" t="s">
        <v>65</v>
      </c>
      <c r="L4" s="96" t="s">
        <v>64</v>
      </c>
      <c r="M4" s="198"/>
      <c r="N4" s="207" t="s">
        <v>149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92.25" customHeight="1">
      <c r="A5" s="190"/>
      <c r="B5" s="191"/>
      <c r="C5" s="192"/>
      <c r="D5" s="193"/>
      <c r="E5" s="202"/>
      <c r="F5" s="204"/>
      <c r="G5" s="206"/>
      <c r="H5" s="199"/>
      <c r="I5" s="206"/>
      <c r="J5" s="199"/>
      <c r="K5" s="210" t="s">
        <v>144</v>
      </c>
      <c r="L5" s="211"/>
      <c r="M5" s="199"/>
      <c r="N5" s="208"/>
      <c r="O5" s="206"/>
      <c r="P5" s="209"/>
      <c r="Q5" s="210" t="s">
        <v>120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189707.65</v>
      </c>
      <c r="G8" s="15">
        <f aca="true" t="shared" si="0" ref="G8:G21">F8-E8</f>
        <v>-10606.530000000028</v>
      </c>
      <c r="H8" s="38">
        <f>F8/E8*100</f>
        <v>94.7050528325054</v>
      </c>
      <c r="I8" s="28">
        <f>F8-D8</f>
        <v>-651342.35</v>
      </c>
      <c r="J8" s="28">
        <f>F8/D8*100</f>
        <v>22.556048986386067</v>
      </c>
      <c r="K8" s="15">
        <f>F8-139482.78</f>
        <v>50224.869999999995</v>
      </c>
      <c r="L8" s="15">
        <f>F8/139482.78*100</f>
        <v>136.00793589000736</v>
      </c>
      <c r="M8" s="15">
        <f>M9+M15+M18+M19+M20+M32+M17</f>
        <v>77601.41</v>
      </c>
      <c r="N8" s="15">
        <f>N9+N15+N18+N19+N20+N32+N17</f>
        <v>49284.62499999999</v>
      </c>
      <c r="O8" s="15">
        <f>N8-M8</f>
        <v>-28316.78500000001</v>
      </c>
      <c r="P8" s="15">
        <f>N8/M8*100</f>
        <v>63.50996070818815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102211.19</v>
      </c>
      <c r="G9" s="36">
        <f t="shared" si="0"/>
        <v>-3772.0800000000017</v>
      </c>
      <c r="H9" s="32">
        <f>F9/E9*100</f>
        <v>96.4408722244558</v>
      </c>
      <c r="I9" s="42">
        <f>F9-D9</f>
        <v>-357488.81</v>
      </c>
      <c r="J9" s="42">
        <f>F9/D9*100</f>
        <v>22.234324559495324</v>
      </c>
      <c r="K9" s="106">
        <f>F9-78437.5</f>
        <v>23773.690000000002</v>
      </c>
      <c r="L9" s="106">
        <f>F9/78437.5*100</f>
        <v>130.30908685258964</v>
      </c>
      <c r="M9" s="32">
        <f>E9-лютий!E9</f>
        <v>45393.005000000005</v>
      </c>
      <c r="N9" s="178">
        <f>F9-лютий!F9</f>
        <v>31886.589999999997</v>
      </c>
      <c r="O9" s="40">
        <f>N9-M9</f>
        <v>-13506.415000000008</v>
      </c>
      <c r="P9" s="42">
        <f>N9/M9*100</f>
        <v>70.24560281920087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90714.83</v>
      </c>
      <c r="G10" s="109">
        <f t="shared" si="0"/>
        <v>-3902.0099999999948</v>
      </c>
      <c r="H10" s="32">
        <f aca="true" t="shared" si="1" ref="H10:H31">F10/E10*100</f>
        <v>95.87598782626856</v>
      </c>
      <c r="I10" s="110">
        <f aca="true" t="shared" si="2" ref="I10:I32">F10-D10</f>
        <v>-320725.17</v>
      </c>
      <c r="J10" s="110">
        <f aca="true" t="shared" si="3" ref="J10:J31">F10/D10*100</f>
        <v>22.0481309546957</v>
      </c>
      <c r="K10" s="112">
        <f>F10-69239.48</f>
        <v>21475.350000000006</v>
      </c>
      <c r="L10" s="112">
        <f>F10/69239.48*100</f>
        <v>131.01604749198</v>
      </c>
      <c r="M10" s="111">
        <f>E10-лютий!E10</f>
        <v>40243</v>
      </c>
      <c r="N10" s="179">
        <f>F10-лютий!F10</f>
        <v>28500.880000000005</v>
      </c>
      <c r="O10" s="112">
        <f aca="true" t="shared" si="4" ref="O10:O32">N10-M10</f>
        <v>-11742.119999999995</v>
      </c>
      <c r="P10" s="42">
        <f aca="true" t="shared" si="5" ref="P10:P25">N10/M10*100</f>
        <v>70.82195661357255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6784.43</v>
      </c>
      <c r="G11" s="109">
        <f t="shared" si="0"/>
        <v>-300.5099999999993</v>
      </c>
      <c r="H11" s="32">
        <f t="shared" si="1"/>
        <v>95.75846796162001</v>
      </c>
      <c r="I11" s="110">
        <f t="shared" si="2"/>
        <v>-16215.57</v>
      </c>
      <c r="J11" s="110">
        <f t="shared" si="3"/>
        <v>29.497521739130434</v>
      </c>
      <c r="K11" s="112">
        <f>F11-4902.53</f>
        <v>1881.9000000000005</v>
      </c>
      <c r="L11" s="112">
        <f>F11/4902.53*100</f>
        <v>138.38630258254412</v>
      </c>
      <c r="M11" s="111">
        <f>E11-лютий!E11</f>
        <v>3149.9999999999995</v>
      </c>
      <c r="N11" s="179">
        <f>F11-лютий!F11</f>
        <v>1465.2700000000004</v>
      </c>
      <c r="O11" s="112">
        <f t="shared" si="4"/>
        <v>-1684.729999999999</v>
      </c>
      <c r="P11" s="42">
        <f t="shared" si="5"/>
        <v>46.516507936507956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1462</v>
      </c>
      <c r="G12" s="109">
        <f t="shared" si="0"/>
        <v>356.3900000000001</v>
      </c>
      <c r="H12" s="32">
        <f t="shared" si="1"/>
        <v>132.2346939698447</v>
      </c>
      <c r="I12" s="110">
        <f t="shared" si="2"/>
        <v>-5038</v>
      </c>
      <c r="J12" s="110">
        <f t="shared" si="3"/>
        <v>22.49230769230769</v>
      </c>
      <c r="K12" s="112">
        <f>F12-1215.38</f>
        <v>246.6199999999999</v>
      </c>
      <c r="L12" s="112">
        <f>F12/1215.38*100</f>
        <v>120.29159604403561</v>
      </c>
      <c r="M12" s="111">
        <f>E12-лютий!E12</f>
        <v>479.9999999999999</v>
      </c>
      <c r="N12" s="179">
        <f>F12-лютий!F12</f>
        <v>639.97</v>
      </c>
      <c r="O12" s="112">
        <f t="shared" si="4"/>
        <v>159.97000000000014</v>
      </c>
      <c r="P12" s="42">
        <f t="shared" si="5"/>
        <v>133.32708333333335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2313.08</v>
      </c>
      <c r="G13" s="109">
        <f t="shared" si="0"/>
        <v>403.24</v>
      </c>
      <c r="H13" s="32">
        <f t="shared" si="1"/>
        <v>121.11381058099109</v>
      </c>
      <c r="I13" s="110">
        <f t="shared" si="2"/>
        <v>-10086.92</v>
      </c>
      <c r="J13" s="110">
        <f t="shared" si="3"/>
        <v>18.653870967741934</v>
      </c>
      <c r="K13" s="112">
        <f>F13-1220.33</f>
        <v>1092.75</v>
      </c>
      <c r="L13" s="112">
        <f>F13/1220.33*100</f>
        <v>189.54545082067966</v>
      </c>
      <c r="M13" s="111">
        <f>E13-лютий!E13</f>
        <v>880.0049999999999</v>
      </c>
      <c r="N13" s="179">
        <f>F13-лютий!F13</f>
        <v>798.5899999999999</v>
      </c>
      <c r="O13" s="112">
        <f t="shared" si="4"/>
        <v>-81.41499999999996</v>
      </c>
      <c r="P13" s="42">
        <f t="shared" si="5"/>
        <v>90.74834802074989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936.85</v>
      </c>
      <c r="G14" s="109">
        <f t="shared" si="0"/>
        <v>-329.18999999999994</v>
      </c>
      <c r="H14" s="32">
        <f t="shared" si="1"/>
        <v>73.99845186565986</v>
      </c>
      <c r="I14" s="110">
        <f t="shared" si="2"/>
        <v>-5423.15</v>
      </c>
      <c r="J14" s="110">
        <f t="shared" si="3"/>
        <v>14.730345911949685</v>
      </c>
      <c r="K14" s="112">
        <f>F14-1859.78</f>
        <v>-922.93</v>
      </c>
      <c r="L14" s="112">
        <f>F14/1859.78*100</f>
        <v>50.374237813074664</v>
      </c>
      <c r="M14" s="111">
        <f>E14-лютий!E14</f>
        <v>640</v>
      </c>
      <c r="N14" s="179">
        <f>F14-лютий!F14</f>
        <v>481.88</v>
      </c>
      <c r="O14" s="112">
        <f t="shared" si="4"/>
        <v>-158.12</v>
      </c>
      <c r="P14" s="42">
        <f t="shared" si="5"/>
        <v>75.29375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/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15393.66</v>
      </c>
      <c r="G19" s="36">
        <f t="shared" si="0"/>
        <v>-4666.740000000002</v>
      </c>
      <c r="H19" s="32">
        <f t="shared" si="1"/>
        <v>76.73655560208171</v>
      </c>
      <c r="I19" s="42">
        <f t="shared" si="2"/>
        <v>-94506.34</v>
      </c>
      <c r="J19" s="42">
        <f t="shared" si="3"/>
        <v>14.006969972702457</v>
      </c>
      <c r="K19" s="185">
        <f>F19-10070.48</f>
        <v>5323.18</v>
      </c>
      <c r="L19" s="185">
        <f>F19/10070.48*100</f>
        <v>152.85924801995537</v>
      </c>
      <c r="M19" s="32">
        <f>E19-лютий!E19</f>
        <v>8000.000000000002</v>
      </c>
      <c r="N19" s="178">
        <f>F19-лютий!F19</f>
        <v>4532.66</v>
      </c>
      <c r="O19" s="40">
        <f t="shared" si="4"/>
        <v>-3467.340000000002</v>
      </c>
      <c r="P19" s="42">
        <f t="shared" si="5"/>
        <v>56.65824999999999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71811.61</v>
      </c>
      <c r="G20" s="36">
        <f t="shared" si="0"/>
        <v>-2338.9000000000087</v>
      </c>
      <c r="H20" s="32">
        <f t="shared" si="1"/>
        <v>96.84573983375164</v>
      </c>
      <c r="I20" s="42">
        <f t="shared" si="2"/>
        <v>-199128.39</v>
      </c>
      <c r="J20" s="42">
        <f t="shared" si="3"/>
        <v>26.504617258433598</v>
      </c>
      <c r="K20" s="132">
        <f>F20-49978.98</f>
        <v>21832.629999999997</v>
      </c>
      <c r="L20" s="110">
        <f>F20/49978.98*100</f>
        <v>143.68362459578006</v>
      </c>
      <c r="M20" s="32">
        <f>M21+M25+M26+M27</f>
        <v>24098.405</v>
      </c>
      <c r="N20" s="178">
        <f>F20-лютий!F20</f>
        <v>12765.169999999998</v>
      </c>
      <c r="O20" s="40">
        <f t="shared" si="4"/>
        <v>-11333.235</v>
      </c>
      <c r="P20" s="42">
        <f t="shared" si="5"/>
        <v>52.97101613156555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34018.4</v>
      </c>
      <c r="G21" s="36">
        <f t="shared" si="0"/>
        <v>-2822.8600000000006</v>
      </c>
      <c r="H21" s="32">
        <f t="shared" si="1"/>
        <v>92.33777563525243</v>
      </c>
      <c r="I21" s="42">
        <f t="shared" si="2"/>
        <v>-127381.6</v>
      </c>
      <c r="J21" s="42">
        <f t="shared" si="3"/>
        <v>21.077075588599754</v>
      </c>
      <c r="K21" s="132">
        <f>F21-24610.26</f>
        <v>9408.140000000003</v>
      </c>
      <c r="L21" s="110">
        <f>F21/24610.26*100</f>
        <v>138.22852745155885</v>
      </c>
      <c r="M21" s="32">
        <f>M22+M23+M24</f>
        <v>13345</v>
      </c>
      <c r="N21" s="178">
        <f>F21-лютий!F21</f>
        <v>8534.350000000002</v>
      </c>
      <c r="O21" s="40">
        <f t="shared" si="4"/>
        <v>-4810.649999999998</v>
      </c>
      <c r="P21" s="42">
        <f t="shared" si="5"/>
        <v>63.95166729112029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3865.9</v>
      </c>
      <c r="G22" s="109">
        <f>F22-E22</f>
        <v>334.3000000000002</v>
      </c>
      <c r="H22" s="111">
        <f t="shared" si="1"/>
        <v>109.46596443538341</v>
      </c>
      <c r="I22" s="110">
        <f t="shared" si="2"/>
        <v>-14634.1</v>
      </c>
      <c r="J22" s="110">
        <f t="shared" si="3"/>
        <v>20.89675675675676</v>
      </c>
      <c r="K22" s="174">
        <f>F22-526.28</f>
        <v>3339.62</v>
      </c>
      <c r="L22" s="174">
        <f>F22/526.28*100</f>
        <v>734.5709508246562</v>
      </c>
      <c r="M22" s="111">
        <f>E22-лютий!E22</f>
        <v>240</v>
      </c>
      <c r="N22" s="179">
        <f>F22-лютий!F22</f>
        <v>313.1300000000001</v>
      </c>
      <c r="O22" s="112">
        <f t="shared" si="4"/>
        <v>73.13000000000011</v>
      </c>
      <c r="P22" s="110">
        <f t="shared" si="5"/>
        <v>130.4708333333334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314.14</v>
      </c>
      <c r="G23" s="109">
        <f>F23-E23</f>
        <v>112.29999999999998</v>
      </c>
      <c r="H23" s="111">
        <f t="shared" si="1"/>
        <v>155.63812921125643</v>
      </c>
      <c r="I23" s="110">
        <f t="shared" si="2"/>
        <v>-2485.86</v>
      </c>
      <c r="J23" s="110">
        <f t="shared" si="3"/>
        <v>11.219285714285714</v>
      </c>
      <c r="K23" s="110">
        <f>F23-37.7</f>
        <v>276.44</v>
      </c>
      <c r="L23" s="110">
        <f>F23/37.7*100</f>
        <v>833.262599469496</v>
      </c>
      <c r="M23" s="111">
        <f>E23-лютий!E23</f>
        <v>0</v>
      </c>
      <c r="N23" s="179">
        <f>F23-лютий!F23</f>
        <v>139.92999999999998</v>
      </c>
      <c r="O23" s="112">
        <f t="shared" si="4"/>
        <v>139.92999999999998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29838.36</v>
      </c>
      <c r="G24" s="109">
        <f>F24-E24</f>
        <v>-3269.459999999999</v>
      </c>
      <c r="H24" s="111">
        <f t="shared" si="1"/>
        <v>90.12481039222759</v>
      </c>
      <c r="I24" s="110">
        <f t="shared" si="2"/>
        <v>-110261.64</v>
      </c>
      <c r="J24" s="110">
        <f t="shared" si="3"/>
        <v>21.297901498929335</v>
      </c>
      <c r="K24" s="174">
        <f>F24-24046.28</f>
        <v>5792.080000000002</v>
      </c>
      <c r="L24" s="174">
        <f>F24/24046.28*100</f>
        <v>124.0872184803637</v>
      </c>
      <c r="M24" s="111">
        <f>E24-лютий!E24</f>
        <v>13105</v>
      </c>
      <c r="N24" s="179">
        <f>F24-лютий!F24</f>
        <v>8081.290000000001</v>
      </c>
      <c r="O24" s="112">
        <f t="shared" si="4"/>
        <v>-5023.709999999999</v>
      </c>
      <c r="P24" s="110">
        <f t="shared" si="5"/>
        <v>61.66570011446013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-75.27</v>
      </c>
      <c r="G26" s="36">
        <f aca="true" t="shared" si="6" ref="G26:G32">F26-E26</f>
        <v>-75.27</v>
      </c>
      <c r="H26" s="32"/>
      <c r="I26" s="42">
        <f t="shared" si="2"/>
        <v>-75.27</v>
      </c>
      <c r="J26" s="42"/>
      <c r="K26" s="132">
        <f>F26-12.89</f>
        <v>-88.16</v>
      </c>
      <c r="L26" s="132">
        <f>F26/12.89*100</f>
        <v>-583.9410395655547</v>
      </c>
      <c r="M26" s="32">
        <f>E26-лютий!E26</f>
        <v>0</v>
      </c>
      <c r="N26" s="178">
        <f>F26-лютий!F26</f>
        <v>-22.339999999999996</v>
      </c>
      <c r="O26" s="40">
        <f t="shared" si="4"/>
        <v>-22.339999999999996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37843.67</v>
      </c>
      <c r="G27" s="36">
        <f t="shared" si="6"/>
        <v>548.4300000000003</v>
      </c>
      <c r="H27" s="32">
        <f t="shared" si="1"/>
        <v>101.47050937331412</v>
      </c>
      <c r="I27" s="42">
        <f t="shared" si="2"/>
        <v>-71619.33</v>
      </c>
      <c r="J27" s="42">
        <f t="shared" si="3"/>
        <v>34.57211112430684</v>
      </c>
      <c r="K27" s="106">
        <f>F27-25338.21</f>
        <v>12505.46</v>
      </c>
      <c r="L27" s="106">
        <f>F27/25338.21*100</f>
        <v>149.35415721947209</v>
      </c>
      <c r="M27" s="32">
        <f>E27-лютий!E27</f>
        <v>10749.999999999996</v>
      </c>
      <c r="N27" s="178">
        <f>F27-лютий!F27</f>
        <v>4249.159999999996</v>
      </c>
      <c r="O27" s="40">
        <f t="shared" si="4"/>
        <v>-6500.84</v>
      </c>
      <c r="P27" s="42">
        <f>N27/M27*100</f>
        <v>39.527069767441844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9335.97</v>
      </c>
      <c r="F29" s="171">
        <v>9411.43</v>
      </c>
      <c r="G29" s="109">
        <f t="shared" si="6"/>
        <v>75.46000000000095</v>
      </c>
      <c r="H29" s="111">
        <f t="shared" si="1"/>
        <v>100.80827166325514</v>
      </c>
      <c r="I29" s="110">
        <f t="shared" si="2"/>
        <v>-18188.57</v>
      </c>
      <c r="J29" s="110">
        <f t="shared" si="3"/>
        <v>34.099384057971015</v>
      </c>
      <c r="K29" s="142">
        <f>F29-6631.29</f>
        <v>2780.1400000000003</v>
      </c>
      <c r="L29" s="142">
        <f>F29/6631.29*100</f>
        <v>141.9245727452728</v>
      </c>
      <c r="M29" s="111">
        <f>E29-лютий!E29</f>
        <v>3679.999999999999</v>
      </c>
      <c r="N29" s="179">
        <f>F29-лютий!F29</f>
        <v>732.1599999999999</v>
      </c>
      <c r="O29" s="112">
        <f t="shared" si="4"/>
        <v>-2947.8399999999992</v>
      </c>
      <c r="P29" s="110">
        <f>N29/M29*100</f>
        <v>19.895652173913046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28424.58</v>
      </c>
      <c r="G30" s="109">
        <f t="shared" si="6"/>
        <v>488.5</v>
      </c>
      <c r="H30" s="111">
        <f t="shared" si="1"/>
        <v>101.74863474045036</v>
      </c>
      <c r="I30" s="110">
        <f t="shared" si="2"/>
        <v>-53387.42</v>
      </c>
      <c r="J30" s="110">
        <f t="shared" si="3"/>
        <v>34.74377841881387</v>
      </c>
      <c r="K30" s="142">
        <f>F30-18703.62</f>
        <v>9720.960000000003</v>
      </c>
      <c r="L30" s="142">
        <f>F30/18603.62*100</f>
        <v>152.79058591822454</v>
      </c>
      <c r="M30" s="111">
        <f>E30-лютий!E30</f>
        <v>7050</v>
      </c>
      <c r="N30" s="179">
        <f>F30-лютий!F30</f>
        <v>3516.9100000000035</v>
      </c>
      <c r="O30" s="112">
        <f t="shared" si="4"/>
        <v>-3533.0899999999965</v>
      </c>
      <c r="P30" s="110">
        <f>N30/M30*100</f>
        <v>49.8852482269504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7.49</v>
      </c>
      <c r="G31" s="109">
        <f t="shared" si="6"/>
        <v>4.300000000000001</v>
      </c>
      <c r="H31" s="111">
        <f t="shared" si="1"/>
        <v>234.79623824451411</v>
      </c>
      <c r="I31" s="110">
        <f t="shared" si="2"/>
        <v>-43.51</v>
      </c>
      <c r="J31" s="110">
        <f t="shared" si="3"/>
        <v>14.686274509803923</v>
      </c>
      <c r="K31" s="142">
        <f>F31-4.54</f>
        <v>2.95</v>
      </c>
      <c r="L31" s="142">
        <f>F31/4.54*100</f>
        <v>164.97797356828195</v>
      </c>
      <c r="M31" s="111">
        <f>E31-лютий!E31</f>
        <v>-0.0030000000000001137</v>
      </c>
      <c r="N31" s="179">
        <f>F31-лютий!F31</f>
        <v>0</v>
      </c>
      <c r="O31" s="112">
        <f t="shared" si="4"/>
        <v>0.0030000000000001137</v>
      </c>
      <c r="P31" s="110"/>
      <c r="Q31" s="113"/>
      <c r="R31" s="114"/>
    </row>
    <row r="32" spans="1:18" s="6" customFormat="1" ht="15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0.28</v>
      </c>
      <c r="G32" s="36">
        <f t="shared" si="6"/>
        <v>0.28</v>
      </c>
      <c r="H32" s="32"/>
      <c r="I32" s="42">
        <f t="shared" si="2"/>
        <v>0.28</v>
      </c>
      <c r="J32" s="42"/>
      <c r="K32" s="132">
        <f>F32-1999.9</f>
        <v>-1999.6200000000001</v>
      </c>
      <c r="L32" s="132">
        <f>F32/1999.24*100</f>
        <v>0.0140053220223685</v>
      </c>
      <c r="M32" s="32">
        <v>0</v>
      </c>
      <c r="N32" s="178">
        <f>F32-лютий!F32</f>
        <v>0.28</v>
      </c>
      <c r="O32" s="40">
        <f t="shared" si="4"/>
        <v>0.28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10318.839999999998</v>
      </c>
      <c r="G33" s="15">
        <f>G34+G35+G36+G37+G38+G39+G41+G42+G43+G44+G45+G50+G51+G55</f>
        <v>-191.1710000000002</v>
      </c>
      <c r="H33" s="38">
        <f>F33/E33*100</f>
        <v>98.1808712077062</v>
      </c>
      <c r="I33" s="28">
        <f>F33-D33</f>
        <v>-32501.160000000003</v>
      </c>
      <c r="J33" s="28">
        <f>F33/D33*100</f>
        <v>24.098178421298456</v>
      </c>
      <c r="K33" s="15">
        <f>F33-7649.28</f>
        <v>2669.5599999999986</v>
      </c>
      <c r="L33" s="15">
        <f>F33/7649.28*100</f>
        <v>134.89949380856757</v>
      </c>
      <c r="M33" s="15">
        <f>M34+M35+M36+M37+M38+M39+M41+M42+M43+M44+M45+M50+M51+M55</f>
        <v>5575.005</v>
      </c>
      <c r="N33" s="15">
        <f>N34+N35+N36+N37+N38+N39+N41+N42+N43+N44+N45+N50+N51+N55</f>
        <v>5402.4</v>
      </c>
      <c r="O33" s="15">
        <f>O34+O35+O36+O37+O38+O39+O41+O42+O43+O44+O45+O50+O51+O55</f>
        <v>-172.60499999999982</v>
      </c>
      <c r="P33" s="15">
        <f>N33/M33*100</f>
        <v>96.90394896506818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94.65</v>
      </c>
      <c r="G34" s="36">
        <f>F34-E34</f>
        <v>43.650000000000006</v>
      </c>
      <c r="H34" s="32">
        <f aca="true" t="shared" si="7" ref="H34:H56">F34/E34*100</f>
        <v>185.58823529411765</v>
      </c>
      <c r="I34" s="42">
        <f>F34-D34</f>
        <v>-5.349999999999994</v>
      </c>
      <c r="J34" s="42">
        <f>F34/D34*100</f>
        <v>94.65</v>
      </c>
      <c r="K34" s="42">
        <f>F34-(-3.69)</f>
        <v>98.34</v>
      </c>
      <c r="L34" s="42">
        <f>F34/(-3.69)*100</f>
        <v>-2565.040650406504</v>
      </c>
      <c r="M34" s="32">
        <f>E34-лютий!E34</f>
        <v>1</v>
      </c>
      <c r="N34" s="178">
        <f>F34-лютий!F34</f>
        <v>16.60000000000001</v>
      </c>
      <c r="O34" s="40">
        <f>N34-M34</f>
        <v>15.600000000000009</v>
      </c>
      <c r="P34" s="42">
        <f aca="true" t="shared" si="8" ref="P34:P56">N34/M34*100</f>
        <v>1660.000000000001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16.02</v>
      </c>
      <c r="G38" s="36">
        <f t="shared" si="9"/>
        <v>-13.98</v>
      </c>
      <c r="H38" s="32">
        <f t="shared" si="7"/>
        <v>53.400000000000006</v>
      </c>
      <c r="I38" s="42">
        <f t="shared" si="10"/>
        <v>-133.98</v>
      </c>
      <c r="J38" s="42">
        <f t="shared" si="12"/>
        <v>10.68</v>
      </c>
      <c r="K38" s="42">
        <f>F38-30.76</f>
        <v>-14.740000000000002</v>
      </c>
      <c r="L38" s="42">
        <f>F38/30.76*100</f>
        <v>52.08062418725618</v>
      </c>
      <c r="M38" s="32">
        <f>E38-лютий!E38</f>
        <v>10</v>
      </c>
      <c r="N38" s="178">
        <f>F38-лютий!F38</f>
        <v>12.37</v>
      </c>
      <c r="O38" s="40">
        <f t="shared" si="11"/>
        <v>2.369999999999999</v>
      </c>
      <c r="P38" s="42">
        <f t="shared" si="8"/>
        <v>123.69999999999999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2152.68</v>
      </c>
      <c r="G41" s="36">
        <f t="shared" si="9"/>
        <v>13.659999999999854</v>
      </c>
      <c r="H41" s="32">
        <f t="shared" si="7"/>
        <v>100.63861020467316</v>
      </c>
      <c r="I41" s="42">
        <f t="shared" si="10"/>
        <v>-7747.32</v>
      </c>
      <c r="J41" s="42">
        <f t="shared" si="12"/>
        <v>21.744242424242422</v>
      </c>
      <c r="K41" s="42">
        <f>F41-2528.58</f>
        <v>-375.9000000000001</v>
      </c>
      <c r="L41" s="42">
        <f>F41/2528.58*100</f>
        <v>85.13394869847899</v>
      </c>
      <c r="M41" s="32">
        <f>E41-лютий!E41</f>
        <v>800.0049999999999</v>
      </c>
      <c r="N41" s="178">
        <f>F41-лютий!F41</f>
        <v>801.5099999999998</v>
      </c>
      <c r="O41" s="40">
        <f t="shared" si="11"/>
        <v>1.5049999999998818</v>
      </c>
      <c r="P41" s="42">
        <f t="shared" si="8"/>
        <v>100.18812382422608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1434.07</v>
      </c>
      <c r="G45" s="36">
        <f t="shared" si="9"/>
        <v>60.87999999999988</v>
      </c>
      <c r="H45" s="32">
        <f t="shared" si="7"/>
        <v>104.43347242552012</v>
      </c>
      <c r="I45" s="42">
        <f t="shared" si="10"/>
        <v>-5865.93</v>
      </c>
      <c r="J45" s="42">
        <f t="shared" si="12"/>
        <v>19.644794520547944</v>
      </c>
      <c r="K45" s="132">
        <f>F45-2181.98</f>
        <v>-747.9100000000001</v>
      </c>
      <c r="L45" s="132">
        <f>F45/2181.98*100</f>
        <v>65.72333385273924</v>
      </c>
      <c r="M45" s="32">
        <f>E45-лютий!E45</f>
        <v>477</v>
      </c>
      <c r="N45" s="178">
        <f>F45-лютий!F45</f>
        <v>468.90999999999997</v>
      </c>
      <c r="O45" s="40">
        <f t="shared" si="11"/>
        <v>-8.090000000000032</v>
      </c>
      <c r="P45" s="132">
        <f t="shared" si="8"/>
        <v>98.30398322851153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156.26</v>
      </c>
      <c r="G46" s="36">
        <f t="shared" si="9"/>
        <v>-32.73000000000002</v>
      </c>
      <c r="H46" s="32">
        <f t="shared" si="7"/>
        <v>82.68162336631568</v>
      </c>
      <c r="I46" s="110">
        <f t="shared" si="10"/>
        <v>-943.74</v>
      </c>
      <c r="J46" s="42">
        <f t="shared" si="12"/>
        <v>14.205454545454543</v>
      </c>
      <c r="K46" s="110">
        <f>F46-216.18</f>
        <v>-59.920000000000016</v>
      </c>
      <c r="L46" s="110">
        <f>F46/216.18*100</f>
        <v>72.28235729484688</v>
      </c>
      <c r="M46" s="32">
        <f>E46-лютий!E46</f>
        <v>76.00000000000001</v>
      </c>
      <c r="N46" s="178">
        <f>F46-лютий!F46</f>
        <v>70.82999999999998</v>
      </c>
      <c r="O46" s="112">
        <f t="shared" si="11"/>
        <v>-5.17000000000003</v>
      </c>
      <c r="P46" s="132">
        <f t="shared" si="8"/>
        <v>93.1973684210526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1277.69</v>
      </c>
      <c r="G49" s="36">
        <f t="shared" si="9"/>
        <v>95.51999999999998</v>
      </c>
      <c r="H49" s="32">
        <f t="shared" si="7"/>
        <v>108.08005616789463</v>
      </c>
      <c r="I49" s="110">
        <f t="shared" si="10"/>
        <v>-4876.3099999999995</v>
      </c>
      <c r="J49" s="42">
        <f t="shared" si="12"/>
        <v>20.761943451413718</v>
      </c>
      <c r="K49" s="110">
        <f>F49-1921.57</f>
        <v>-643.8799999999999</v>
      </c>
      <c r="L49" s="110">
        <f>F49/1921.57*100</f>
        <v>66.49198311797124</v>
      </c>
      <c r="M49" s="32">
        <f>E49-лютий!E49</f>
        <v>400.0000000000001</v>
      </c>
      <c r="N49" s="178">
        <f>F49-лютий!F49</f>
        <v>399.0400000000001</v>
      </c>
      <c r="O49" s="112">
        <f t="shared" si="11"/>
        <v>-0.9600000000000364</v>
      </c>
      <c r="P49" s="132">
        <f t="shared" si="8"/>
        <v>99.75999999999999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1018.72</v>
      </c>
      <c r="G51" s="36">
        <f t="shared" si="9"/>
        <v>10.740000000000009</v>
      </c>
      <c r="H51" s="32">
        <f t="shared" si="7"/>
        <v>101.06549733129626</v>
      </c>
      <c r="I51" s="42">
        <f t="shared" si="10"/>
        <v>-3781.2799999999997</v>
      </c>
      <c r="J51" s="42">
        <f t="shared" si="12"/>
        <v>21.223333333333333</v>
      </c>
      <c r="K51" s="42">
        <f>F51-960.47</f>
        <v>58.25</v>
      </c>
      <c r="L51" s="42">
        <f>F51/960.47*100</f>
        <v>106.06473913813028</v>
      </c>
      <c r="M51" s="32">
        <f>E51-лютий!E51</f>
        <v>370</v>
      </c>
      <c r="N51" s="178">
        <f>F51-лютий!F51</f>
        <v>296.06000000000006</v>
      </c>
      <c r="O51" s="40">
        <f t="shared" si="11"/>
        <v>-73.93999999999994</v>
      </c>
      <c r="P51" s="42">
        <f t="shared" si="8"/>
        <v>80.01621621621624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228.8</v>
      </c>
      <c r="G53" s="36"/>
      <c r="H53" s="32"/>
      <c r="I53" s="42"/>
      <c r="J53" s="42"/>
      <c r="K53" s="112">
        <f>F53-239.6</f>
        <v>-10.799999999999983</v>
      </c>
      <c r="L53" s="112">
        <f>F53/239.6*100</f>
        <v>95.4924874791319</v>
      </c>
      <c r="M53" s="111"/>
      <c r="N53" s="179">
        <f>F53-лютий!F53</f>
        <v>81.5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200032.28999999998</v>
      </c>
      <c r="G58" s="37">
        <f>F58-E58</f>
        <v>-10797.22100000002</v>
      </c>
      <c r="H58" s="38">
        <f>F58/E58*100</f>
        <v>94.87869561107125</v>
      </c>
      <c r="I58" s="28">
        <f>F58-D58</f>
        <v>-683868.31</v>
      </c>
      <c r="J58" s="28">
        <f>F58/D58*100</f>
        <v>22.630631770133427</v>
      </c>
      <c r="K58" s="28">
        <f>F58-147138.18</f>
        <v>52894.109999999986</v>
      </c>
      <c r="L58" s="28">
        <f>F58/147138.18*100</f>
        <v>135.94859607479174</v>
      </c>
      <c r="M58" s="15">
        <f>M8+M33+M56+M57</f>
        <v>83178.71500000001</v>
      </c>
      <c r="N58" s="15">
        <f>N8+N33+N56+N57</f>
        <v>54689.024999999994</v>
      </c>
      <c r="O58" s="41">
        <f>N58-M58</f>
        <v>-28489.690000000017</v>
      </c>
      <c r="P58" s="28">
        <f>N58/M58*100</f>
        <v>65.74882167871911</v>
      </c>
      <c r="Q58" s="28">
        <f>N58-34768</f>
        <v>19921.024999999994</v>
      </c>
      <c r="R58" s="128">
        <f>N58/34768</f>
        <v>1.5729701161988032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388.98</v>
      </c>
      <c r="G68" s="36">
        <f t="shared" si="13"/>
        <v>-1002.4300000000001</v>
      </c>
      <c r="H68" s="32">
        <f>F68/E68*100</f>
        <v>27.955814605328406</v>
      </c>
      <c r="I68" s="43">
        <f t="shared" si="14"/>
        <v>-7070.02</v>
      </c>
      <c r="J68" s="43">
        <f>F68/D68*100</f>
        <v>5.2149081646333295</v>
      </c>
      <c r="K68" s="43">
        <f>F68-1409.78</f>
        <v>-1020.8</v>
      </c>
      <c r="L68" s="43">
        <f>F68/1409.78*100</f>
        <v>27.591539105392332</v>
      </c>
      <c r="M68" s="32">
        <f>E68-лютий!E68</f>
        <v>259.01</v>
      </c>
      <c r="N68" s="178">
        <f>F68-лютий!F68</f>
        <v>12.310000000000002</v>
      </c>
      <c r="O68" s="40">
        <f t="shared" si="15"/>
        <v>-246.7</v>
      </c>
      <c r="P68" s="43">
        <f>N68/M68*100</f>
        <v>4.7527122504922605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7790.81</v>
      </c>
      <c r="G69" s="36">
        <f t="shared" si="13"/>
        <v>6903.96</v>
      </c>
      <c r="H69" s="32">
        <f>F69/E69*100</f>
        <v>878.4811411174381</v>
      </c>
      <c r="I69" s="43">
        <f t="shared" si="14"/>
        <v>1790.8100000000004</v>
      </c>
      <c r="J69" s="43">
        <f>F69/D69*100</f>
        <v>129.84683333333334</v>
      </c>
      <c r="K69" s="43">
        <f>F69-11.06</f>
        <v>7779.75</v>
      </c>
      <c r="L69" s="43">
        <f>F69/11.06*100</f>
        <v>70441.32007233273</v>
      </c>
      <c r="M69" s="32">
        <f>E69-лютий!E69</f>
        <v>302</v>
      </c>
      <c r="N69" s="178">
        <f>F69-лютий!F69</f>
        <v>7143.97</v>
      </c>
      <c r="O69" s="40">
        <f t="shared" si="15"/>
        <v>6841.97</v>
      </c>
      <c r="P69" s="43">
        <f>N69/M69*100</f>
        <v>2365.5529801324506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8182.9400000000005</v>
      </c>
      <c r="G71" s="45">
        <f t="shared" si="13"/>
        <v>5829.68</v>
      </c>
      <c r="H71" s="52">
        <f>F71/E71*100</f>
        <v>347.7278328786449</v>
      </c>
      <c r="I71" s="44">
        <f t="shared" si="14"/>
        <v>-9488.06</v>
      </c>
      <c r="J71" s="44">
        <f>F71/D71*100</f>
        <v>46.30716993944882</v>
      </c>
      <c r="K71" s="44">
        <f>F71-1454.31</f>
        <v>6728.630000000001</v>
      </c>
      <c r="L71" s="44">
        <f>F71/1454.31*100</f>
        <v>562.6682069159946</v>
      </c>
      <c r="M71" s="45">
        <f>M67+M68+M69+M70</f>
        <v>634.01</v>
      </c>
      <c r="N71" s="183">
        <f>N67+N68+N69+N70</f>
        <v>7157.33</v>
      </c>
      <c r="O71" s="44">
        <f t="shared" si="15"/>
        <v>6523.32</v>
      </c>
      <c r="P71" s="44">
        <f>N71/M71*100</f>
        <v>1128.8985978139146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2018.68</v>
      </c>
      <c r="G74" s="36">
        <f t="shared" si="13"/>
        <v>12.980000000000018</v>
      </c>
      <c r="H74" s="32">
        <f>F74/E74*100</f>
        <v>100.64715560652142</v>
      </c>
      <c r="I74" s="43">
        <f t="shared" si="14"/>
        <v>-7481.32</v>
      </c>
      <c r="J74" s="40">
        <f>F74/D74*100</f>
        <v>21.249263157894738</v>
      </c>
      <c r="K74" s="40">
        <f>F74-0</f>
        <v>2018.68</v>
      </c>
      <c r="L74" s="43"/>
      <c r="M74" s="32">
        <f>E74-лютий!E74</f>
        <v>0.7999999999999545</v>
      </c>
      <c r="N74" s="178">
        <f>F74-лютий!F74</f>
        <v>5.019999999999982</v>
      </c>
      <c r="O74" s="40">
        <f>N74-M74</f>
        <v>4.220000000000027</v>
      </c>
      <c r="P74" s="46">
        <f>N74/M74*100</f>
        <v>627.5000000000334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0.28</v>
      </c>
      <c r="G75" s="36">
        <f t="shared" si="13"/>
        <v>0.28</v>
      </c>
      <c r="H75" s="32"/>
      <c r="I75" s="43">
        <f t="shared" si="14"/>
        <v>0.28</v>
      </c>
      <c r="J75" s="43"/>
      <c r="K75" s="43">
        <f>F75-0.58</f>
        <v>-0.29999999999999993</v>
      </c>
      <c r="L75" s="43">
        <f>F75/0.58*100</f>
        <v>48.27586206896552</v>
      </c>
      <c r="M75" s="32">
        <f>E75-лютий!E75</f>
        <v>0</v>
      </c>
      <c r="N75" s="178">
        <f>F75-лютий!F75</f>
        <v>0.12000000000000002</v>
      </c>
      <c r="O75" s="40">
        <f t="shared" si="15"/>
        <v>0.12000000000000002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2019.4</v>
      </c>
      <c r="G76" s="30">
        <f>G72+G75+G73+G74</f>
        <v>13.700000000000019</v>
      </c>
      <c r="H76" s="52">
        <f>F76/E76*100</f>
        <v>100.68305329810042</v>
      </c>
      <c r="I76" s="44">
        <f t="shared" si="14"/>
        <v>-7481.6</v>
      </c>
      <c r="J76" s="44">
        <f>F76/D76*100</f>
        <v>21.254604778444374</v>
      </c>
      <c r="K76" s="44">
        <f>F76-0.58</f>
        <v>2018.8200000000002</v>
      </c>
      <c r="L76" s="44">
        <f>F76/0.58*100</f>
        <v>348172.4137931035</v>
      </c>
      <c r="M76" s="45">
        <f>M72+M75+M73+M74</f>
        <v>0.7999999999999545</v>
      </c>
      <c r="N76" s="183">
        <f>N72+N75+N73+N74</f>
        <v>5.569999999999982</v>
      </c>
      <c r="O76" s="45">
        <f>O72+O75+O73+O74</f>
        <v>4.770000000000027</v>
      </c>
      <c r="P76" s="44">
        <f>N76/M76*100</f>
        <v>696.2500000000373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3.55</v>
      </c>
      <c r="G77" s="36">
        <f t="shared" si="13"/>
        <v>-9.16</v>
      </c>
      <c r="H77" s="32">
        <f>F77/E77*100</f>
        <v>27.930763178599527</v>
      </c>
      <c r="I77" s="43">
        <f t="shared" si="14"/>
        <v>-39.45</v>
      </c>
      <c r="J77" s="43">
        <f>F77/D77*100</f>
        <v>8.255813953488373</v>
      </c>
      <c r="K77" s="43">
        <f>F77-12.95</f>
        <v>-9.399999999999999</v>
      </c>
      <c r="L77" s="43">
        <f>F77/12.95*100</f>
        <v>27.413127413127413</v>
      </c>
      <c r="M77" s="32">
        <f>E77-лютий!E77</f>
        <v>11.99</v>
      </c>
      <c r="N77" s="178">
        <f>F77-лютий!F77</f>
        <v>2.86</v>
      </c>
      <c r="O77" s="40">
        <f t="shared" si="15"/>
        <v>-9.13</v>
      </c>
      <c r="P77" s="43">
        <f>N77/M77</f>
        <v>0.2385321100917431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10205.62</v>
      </c>
      <c r="G79" s="37">
        <f>F79-E79</f>
        <v>5833.950000000001</v>
      </c>
      <c r="H79" s="38">
        <f>F79/E79*100</f>
        <v>233.4490023263421</v>
      </c>
      <c r="I79" s="28">
        <f>F79-D79</f>
        <v>-17009.379999999997</v>
      </c>
      <c r="J79" s="28">
        <f>F79/D79*100</f>
        <v>37.4999816277788</v>
      </c>
      <c r="K79" s="28">
        <f>F79-1453.19</f>
        <v>8752.43</v>
      </c>
      <c r="L79" s="28">
        <f>F79/1453.19*100</f>
        <v>702.2908222599935</v>
      </c>
      <c r="M79" s="24">
        <f>M65+M77+M71+M76</f>
        <v>646.8</v>
      </c>
      <c r="N79" s="165">
        <f>N65+N77+N71+N76+N78</f>
        <v>7165.759999999999</v>
      </c>
      <c r="O79" s="28">
        <f t="shared" si="15"/>
        <v>6518.959999999999</v>
      </c>
      <c r="P79" s="28">
        <f>N79/M79*100</f>
        <v>1107.8787878787878</v>
      </c>
      <c r="Q79" s="28">
        <f>N79-8104.96</f>
        <v>-939.2000000000007</v>
      </c>
      <c r="R79" s="101">
        <f>N79/8104.96</f>
        <v>0.8841203411244472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210237.90999999997</v>
      </c>
      <c r="G80" s="37">
        <f>F80-E80</f>
        <v>-4963.271000000037</v>
      </c>
      <c r="H80" s="38">
        <f>F80/E80*100</f>
        <v>97.69365996183821</v>
      </c>
      <c r="I80" s="28">
        <f>F80-D80</f>
        <v>-700877.69</v>
      </c>
      <c r="J80" s="28">
        <f>F80/D80*100</f>
        <v>23.074778875479684</v>
      </c>
      <c r="K80" s="28">
        <f>K58+K79</f>
        <v>61646.539999999986</v>
      </c>
      <c r="L80" s="28">
        <f>F80/139550.7*100</f>
        <v>150.65342560087478</v>
      </c>
      <c r="M80" s="15">
        <f>M58+M79</f>
        <v>83825.51500000001</v>
      </c>
      <c r="N80" s="15">
        <f>N58+N79</f>
        <v>61854.784999999996</v>
      </c>
      <c r="O80" s="28">
        <f t="shared" si="15"/>
        <v>-21970.730000000018</v>
      </c>
      <c r="P80" s="28">
        <f>N80/M80*100</f>
        <v>73.78992541829297</v>
      </c>
      <c r="Q80" s="28">
        <f>N80-42872.96</f>
        <v>18981.824999999997</v>
      </c>
      <c r="R80" s="101">
        <f>N80/42872.96</f>
        <v>1.4427458472659689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3</v>
      </c>
      <c r="D82" s="4" t="s">
        <v>36</v>
      </c>
      <c r="N82" s="83"/>
    </row>
    <row r="83" spans="2:17" ht="30.75">
      <c r="B83" s="57" t="s">
        <v>54</v>
      </c>
      <c r="C83" s="31">
        <v>3852.6</v>
      </c>
      <c r="D83" s="4" t="s">
        <v>24</v>
      </c>
      <c r="G83" s="212"/>
      <c r="H83" s="212"/>
      <c r="I83" s="212"/>
      <c r="J83" s="212"/>
      <c r="K83" s="90"/>
      <c r="L83" s="90"/>
      <c r="P83" s="26"/>
      <c r="Q83" s="26"/>
    </row>
    <row r="84" spans="2:15" ht="34.5" customHeight="1">
      <c r="B84" s="58" t="s">
        <v>56</v>
      </c>
      <c r="C84" s="87">
        <v>42457</v>
      </c>
      <c r="D84" s="31">
        <v>5100.4</v>
      </c>
      <c r="G84" s="4" t="s">
        <v>59</v>
      </c>
      <c r="N84" s="213"/>
      <c r="O84" s="213"/>
    </row>
    <row r="85" spans="3:15" ht="15">
      <c r="C85" s="87">
        <v>42454</v>
      </c>
      <c r="D85" s="31">
        <v>2615.2</v>
      </c>
      <c r="F85" s="124" t="s">
        <v>59</v>
      </c>
      <c r="G85" s="214"/>
      <c r="H85" s="214"/>
      <c r="I85" s="131"/>
      <c r="J85" s="215"/>
      <c r="K85" s="215"/>
      <c r="L85" s="215"/>
      <c r="M85" s="215"/>
      <c r="N85" s="213"/>
      <c r="O85" s="213"/>
    </row>
    <row r="86" spans="3:15" ht="15.75" customHeight="1">
      <c r="C86" s="87">
        <v>42453</v>
      </c>
      <c r="D86" s="31">
        <v>1653.6</v>
      </c>
      <c r="F86" s="73"/>
      <c r="G86" s="214"/>
      <c r="H86" s="214"/>
      <c r="I86" s="131"/>
      <c r="J86" s="216"/>
      <c r="K86" s="216"/>
      <c r="L86" s="216"/>
      <c r="M86" s="216"/>
      <c r="N86" s="213"/>
      <c r="O86" s="213"/>
    </row>
    <row r="87" spans="3:13" ht="15.75" customHeight="1">
      <c r="C87" s="87"/>
      <c r="F87" s="73"/>
      <c r="G87" s="220"/>
      <c r="H87" s="220"/>
      <c r="I87" s="139"/>
      <c r="J87" s="215"/>
      <c r="K87" s="215"/>
      <c r="L87" s="215"/>
      <c r="M87" s="215"/>
    </row>
    <row r="88" spans="2:13" ht="18.75" customHeight="1">
      <c r="B88" s="221" t="s">
        <v>57</v>
      </c>
      <c r="C88" s="222"/>
      <c r="D88" s="148">
        <v>111.83349000000001</v>
      </c>
      <c r="E88" s="74"/>
      <c r="F88" s="140" t="s">
        <v>137</v>
      </c>
      <c r="G88" s="214"/>
      <c r="H88" s="214"/>
      <c r="I88" s="141"/>
      <c r="J88" s="215"/>
      <c r="K88" s="215"/>
      <c r="L88" s="215"/>
      <c r="M88" s="215"/>
    </row>
    <row r="89" spans="6:12" ht="9.75" customHeight="1">
      <c r="F89" s="73"/>
      <c r="G89" s="214"/>
      <c r="H89" s="214"/>
      <c r="I89" s="73"/>
      <c r="J89" s="74"/>
      <c r="K89" s="74"/>
      <c r="L89" s="74"/>
    </row>
    <row r="90" spans="2:12" ht="22.5" customHeight="1" hidden="1">
      <c r="B90" s="217" t="s">
        <v>60</v>
      </c>
      <c r="C90" s="218"/>
      <c r="D90" s="86">
        <v>0</v>
      </c>
      <c r="E90" s="56" t="s">
        <v>24</v>
      </c>
      <c r="F90" s="73"/>
      <c r="G90" s="214"/>
      <c r="H90" s="2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4"/>
      <c r="O91" s="214"/>
    </row>
    <row r="92" spans="4:15" ht="15">
      <c r="D92" s="83"/>
      <c r="I92" s="31"/>
      <c r="N92" s="219"/>
      <c r="O92" s="219"/>
    </row>
    <row r="93" spans="14:15" ht="15">
      <c r="N93" s="214"/>
      <c r="O93" s="21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7" t="s">
        <v>139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/>
      <c r="C3" s="192" t="s">
        <v>0</v>
      </c>
      <c r="D3" s="193" t="s">
        <v>121</v>
      </c>
      <c r="E3" s="34"/>
      <c r="F3" s="194" t="s">
        <v>26</v>
      </c>
      <c r="G3" s="195"/>
      <c r="H3" s="195"/>
      <c r="I3" s="195"/>
      <c r="J3" s="196"/>
      <c r="K3" s="89"/>
      <c r="L3" s="89"/>
      <c r="M3" s="223" t="s">
        <v>128</v>
      </c>
      <c r="N3" s="200" t="s">
        <v>119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127</v>
      </c>
      <c r="F4" s="203" t="s">
        <v>34</v>
      </c>
      <c r="G4" s="205" t="s">
        <v>116</v>
      </c>
      <c r="H4" s="198" t="s">
        <v>117</v>
      </c>
      <c r="I4" s="205" t="s">
        <v>122</v>
      </c>
      <c r="J4" s="198" t="s">
        <v>123</v>
      </c>
      <c r="K4" s="91" t="s">
        <v>65</v>
      </c>
      <c r="L4" s="96" t="s">
        <v>64</v>
      </c>
      <c r="M4" s="198"/>
      <c r="N4" s="207" t="s">
        <v>140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92.25" customHeight="1">
      <c r="A5" s="190"/>
      <c r="B5" s="191"/>
      <c r="C5" s="192"/>
      <c r="D5" s="193"/>
      <c r="E5" s="202"/>
      <c r="F5" s="204"/>
      <c r="G5" s="206"/>
      <c r="H5" s="199"/>
      <c r="I5" s="206"/>
      <c r="J5" s="199"/>
      <c r="K5" s="210" t="s">
        <v>118</v>
      </c>
      <c r="L5" s="211"/>
      <c r="M5" s="199"/>
      <c r="N5" s="208"/>
      <c r="O5" s="206"/>
      <c r="P5" s="209"/>
      <c r="Q5" s="210" t="s">
        <v>120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77.10000000000001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2"/>
      <c r="H83" s="212"/>
      <c r="I83" s="212"/>
      <c r="J83" s="21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13"/>
      <c r="O84" s="213"/>
    </row>
    <row r="85" spans="3:15" ht="15">
      <c r="C85" s="87">
        <v>42426</v>
      </c>
      <c r="D85" s="31">
        <v>6256.2</v>
      </c>
      <c r="F85" s="124" t="s">
        <v>59</v>
      </c>
      <c r="G85" s="214"/>
      <c r="H85" s="214"/>
      <c r="I85" s="131"/>
      <c r="J85" s="215"/>
      <c r="K85" s="215"/>
      <c r="L85" s="215"/>
      <c r="M85" s="215"/>
      <c r="N85" s="213"/>
      <c r="O85" s="213"/>
    </row>
    <row r="86" spans="3:15" ht="15.75" customHeight="1">
      <c r="C86" s="87">
        <v>42425</v>
      </c>
      <c r="D86" s="31">
        <v>3536.9</v>
      </c>
      <c r="F86" s="73"/>
      <c r="G86" s="214"/>
      <c r="H86" s="214"/>
      <c r="I86" s="131"/>
      <c r="J86" s="216"/>
      <c r="K86" s="216"/>
      <c r="L86" s="216"/>
      <c r="M86" s="216"/>
      <c r="N86" s="213"/>
      <c r="O86" s="213"/>
    </row>
    <row r="87" spans="3:13" ht="15.75" customHeight="1">
      <c r="C87" s="87"/>
      <c r="F87" s="73"/>
      <c r="G87" s="220"/>
      <c r="H87" s="220"/>
      <c r="I87" s="139"/>
      <c r="J87" s="215"/>
      <c r="K87" s="215"/>
      <c r="L87" s="215"/>
      <c r="M87" s="215"/>
    </row>
    <row r="88" spans="2:13" ht="18.75" customHeight="1">
      <c r="B88" s="221" t="s">
        <v>57</v>
      </c>
      <c r="C88" s="222"/>
      <c r="D88" s="148">
        <v>505.3</v>
      </c>
      <c r="E88" s="74"/>
      <c r="F88" s="140" t="s">
        <v>137</v>
      </c>
      <c r="G88" s="214"/>
      <c r="H88" s="214"/>
      <c r="I88" s="141"/>
      <c r="J88" s="215"/>
      <c r="K88" s="215"/>
      <c r="L88" s="215"/>
      <c r="M88" s="215"/>
    </row>
    <row r="89" spans="6:12" ht="9.75" customHeight="1">
      <c r="F89" s="73"/>
      <c r="G89" s="214"/>
      <c r="H89" s="214"/>
      <c r="I89" s="73"/>
      <c r="J89" s="74"/>
      <c r="K89" s="74"/>
      <c r="L89" s="74"/>
    </row>
    <row r="90" spans="2:12" ht="22.5" customHeight="1" hidden="1">
      <c r="B90" s="217" t="s">
        <v>60</v>
      </c>
      <c r="C90" s="218"/>
      <c r="D90" s="86">
        <v>0</v>
      </c>
      <c r="E90" s="56" t="s">
        <v>24</v>
      </c>
      <c r="F90" s="73"/>
      <c r="G90" s="214"/>
      <c r="H90" s="2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4"/>
      <c r="O91" s="214"/>
    </row>
    <row r="92" spans="4:15" ht="15">
      <c r="D92" s="83"/>
      <c r="I92" s="31"/>
      <c r="N92" s="219"/>
      <c r="O92" s="219"/>
    </row>
    <row r="93" spans="14:15" ht="15">
      <c r="N93" s="214"/>
      <c r="O93" s="214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8">
      <selection activeCell="F68" sqref="F6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7" t="s">
        <v>114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 t="s">
        <v>135</v>
      </c>
      <c r="C3" s="192" t="s">
        <v>0</v>
      </c>
      <c r="D3" s="193" t="s">
        <v>121</v>
      </c>
      <c r="E3" s="34"/>
      <c r="F3" s="194" t="s">
        <v>26</v>
      </c>
      <c r="G3" s="195"/>
      <c r="H3" s="195"/>
      <c r="I3" s="195"/>
      <c r="J3" s="196"/>
      <c r="K3" s="89"/>
      <c r="L3" s="89"/>
      <c r="M3" s="223" t="s">
        <v>132</v>
      </c>
      <c r="N3" s="200" t="s">
        <v>66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129</v>
      </c>
      <c r="F4" s="203" t="s">
        <v>34</v>
      </c>
      <c r="G4" s="205" t="s">
        <v>130</v>
      </c>
      <c r="H4" s="198" t="s">
        <v>131</v>
      </c>
      <c r="I4" s="205" t="s">
        <v>122</v>
      </c>
      <c r="J4" s="198" t="s">
        <v>123</v>
      </c>
      <c r="K4" s="91" t="s">
        <v>65</v>
      </c>
      <c r="L4" s="96" t="s">
        <v>64</v>
      </c>
      <c r="M4" s="198"/>
      <c r="N4" s="224" t="s">
        <v>133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92.25" customHeight="1">
      <c r="A5" s="190"/>
      <c r="B5" s="191"/>
      <c r="C5" s="192"/>
      <c r="D5" s="193"/>
      <c r="E5" s="202"/>
      <c r="F5" s="204"/>
      <c r="G5" s="206"/>
      <c r="H5" s="199"/>
      <c r="I5" s="206"/>
      <c r="J5" s="199"/>
      <c r="K5" s="210" t="s">
        <v>134</v>
      </c>
      <c r="L5" s="211"/>
      <c r="M5" s="199"/>
      <c r="N5" s="225"/>
      <c r="O5" s="206"/>
      <c r="P5" s="209"/>
      <c r="Q5" s="210" t="s">
        <v>120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12"/>
      <c r="H83" s="212"/>
      <c r="I83" s="212"/>
      <c r="J83" s="21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13"/>
      <c r="O84" s="213"/>
    </row>
    <row r="85" spans="3:15" ht="15">
      <c r="C85" s="87">
        <v>42397</v>
      </c>
      <c r="D85" s="31">
        <v>8685</v>
      </c>
      <c r="F85" s="124" t="s">
        <v>59</v>
      </c>
      <c r="G85" s="214"/>
      <c r="H85" s="214"/>
      <c r="I85" s="131"/>
      <c r="J85" s="215"/>
      <c r="K85" s="215"/>
      <c r="L85" s="215"/>
      <c r="M85" s="215"/>
      <c r="N85" s="213"/>
      <c r="O85" s="213"/>
    </row>
    <row r="86" spans="3:15" ht="15.75" customHeight="1">
      <c r="C86" s="87">
        <v>42396</v>
      </c>
      <c r="D86" s="31">
        <v>4820.3</v>
      </c>
      <c r="F86" s="73"/>
      <c r="G86" s="214"/>
      <c r="H86" s="214"/>
      <c r="I86" s="131"/>
      <c r="J86" s="216"/>
      <c r="K86" s="216"/>
      <c r="L86" s="216"/>
      <c r="M86" s="216"/>
      <c r="N86" s="213"/>
      <c r="O86" s="213"/>
    </row>
    <row r="87" spans="3:13" ht="15.75" customHeight="1">
      <c r="C87" s="87"/>
      <c r="F87" s="73"/>
      <c r="G87" s="220"/>
      <c r="H87" s="220"/>
      <c r="I87" s="139"/>
      <c r="J87" s="215"/>
      <c r="K87" s="215"/>
      <c r="L87" s="215"/>
      <c r="M87" s="215"/>
    </row>
    <row r="88" spans="2:13" ht="18.75" customHeight="1">
      <c r="B88" s="221" t="s">
        <v>57</v>
      </c>
      <c r="C88" s="222"/>
      <c r="D88" s="148">
        <v>300.92</v>
      </c>
      <c r="E88" s="74"/>
      <c r="F88" s="140"/>
      <c r="G88" s="214"/>
      <c r="H88" s="214"/>
      <c r="I88" s="141"/>
      <c r="J88" s="215"/>
      <c r="K88" s="215"/>
      <c r="L88" s="215"/>
      <c r="M88" s="215"/>
    </row>
    <row r="89" spans="6:12" ht="9.75" customHeight="1">
      <c r="F89" s="73"/>
      <c r="G89" s="214"/>
      <c r="H89" s="214"/>
      <c r="I89" s="73"/>
      <c r="J89" s="74"/>
      <c r="K89" s="74"/>
      <c r="L89" s="74"/>
    </row>
    <row r="90" spans="2:12" ht="22.5" customHeight="1" hidden="1">
      <c r="B90" s="217" t="s">
        <v>60</v>
      </c>
      <c r="C90" s="218"/>
      <c r="D90" s="86">
        <v>0</v>
      </c>
      <c r="E90" s="56" t="s">
        <v>24</v>
      </c>
      <c r="F90" s="73"/>
      <c r="G90" s="214"/>
      <c r="H90" s="214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4"/>
      <c r="O91" s="214"/>
    </row>
    <row r="92" spans="4:15" ht="15">
      <c r="D92" s="83"/>
      <c r="I92" s="31"/>
      <c r="N92" s="219"/>
      <c r="O92" s="219"/>
    </row>
    <row r="93" spans="14:15" ht="15">
      <c r="N93" s="214"/>
      <c r="O93" s="214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19" sqref="G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7" t="s">
        <v>114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92"/>
      <c r="R1" s="93"/>
    </row>
    <row r="2" spans="2:18" s="1" customFormat="1" ht="15.75" customHeight="1">
      <c r="B2" s="188"/>
      <c r="C2" s="188"/>
      <c r="D2" s="188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189"/>
      <c r="B3" s="191" t="s">
        <v>136</v>
      </c>
      <c r="C3" s="192" t="s">
        <v>0</v>
      </c>
      <c r="D3" s="193" t="s">
        <v>115</v>
      </c>
      <c r="E3" s="34"/>
      <c r="F3" s="194" t="s">
        <v>26</v>
      </c>
      <c r="G3" s="195"/>
      <c r="H3" s="195"/>
      <c r="I3" s="195"/>
      <c r="J3" s="196"/>
      <c r="K3" s="89"/>
      <c r="L3" s="89"/>
      <c r="M3" s="223" t="s">
        <v>107</v>
      </c>
      <c r="N3" s="200" t="s">
        <v>66</v>
      </c>
      <c r="O3" s="200"/>
      <c r="P3" s="200"/>
      <c r="Q3" s="200"/>
      <c r="R3" s="200"/>
    </row>
    <row r="4" spans="1:18" ht="22.5" customHeight="1">
      <c r="A4" s="189"/>
      <c r="B4" s="191"/>
      <c r="C4" s="192"/>
      <c r="D4" s="193"/>
      <c r="E4" s="201" t="s">
        <v>104</v>
      </c>
      <c r="F4" s="226" t="s">
        <v>34</v>
      </c>
      <c r="G4" s="205" t="s">
        <v>109</v>
      </c>
      <c r="H4" s="198" t="s">
        <v>110</v>
      </c>
      <c r="I4" s="205" t="s">
        <v>105</v>
      </c>
      <c r="J4" s="198" t="s">
        <v>106</v>
      </c>
      <c r="K4" s="91" t="s">
        <v>65</v>
      </c>
      <c r="L4" s="96" t="s">
        <v>64</v>
      </c>
      <c r="M4" s="198"/>
      <c r="N4" s="224" t="s">
        <v>103</v>
      </c>
      <c r="O4" s="205" t="s">
        <v>50</v>
      </c>
      <c r="P4" s="209" t="s">
        <v>49</v>
      </c>
      <c r="Q4" s="97" t="s">
        <v>65</v>
      </c>
      <c r="R4" s="98" t="s">
        <v>64</v>
      </c>
    </row>
    <row r="5" spans="1:18" ht="76.5" customHeight="1">
      <c r="A5" s="190"/>
      <c r="B5" s="191"/>
      <c r="C5" s="192"/>
      <c r="D5" s="193"/>
      <c r="E5" s="202"/>
      <c r="F5" s="227"/>
      <c r="G5" s="206"/>
      <c r="H5" s="199"/>
      <c r="I5" s="206"/>
      <c r="J5" s="199"/>
      <c r="K5" s="210" t="s">
        <v>108</v>
      </c>
      <c r="L5" s="211"/>
      <c r="M5" s="199"/>
      <c r="N5" s="225"/>
      <c r="O5" s="206"/>
      <c r="P5" s="209"/>
      <c r="Q5" s="210" t="s">
        <v>126</v>
      </c>
      <c r="R5" s="21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12"/>
      <c r="H82" s="212"/>
      <c r="I82" s="212"/>
      <c r="J82" s="21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13"/>
      <c r="O83" s="213"/>
    </row>
    <row r="84" spans="3:15" ht="15">
      <c r="C84" s="87">
        <v>42397</v>
      </c>
      <c r="D84" s="31">
        <v>8685</v>
      </c>
      <c r="F84" s="166" t="s">
        <v>59</v>
      </c>
      <c r="G84" s="214"/>
      <c r="H84" s="214"/>
      <c r="I84" s="131"/>
      <c r="J84" s="215"/>
      <c r="K84" s="215"/>
      <c r="L84" s="215"/>
      <c r="M84" s="215"/>
      <c r="N84" s="213"/>
      <c r="O84" s="213"/>
    </row>
    <row r="85" spans="3:15" ht="15.75" customHeight="1">
      <c r="C85" s="87">
        <v>42396</v>
      </c>
      <c r="D85" s="31">
        <v>4820.3</v>
      </c>
      <c r="F85" s="167"/>
      <c r="G85" s="214"/>
      <c r="H85" s="214"/>
      <c r="I85" s="131"/>
      <c r="J85" s="216"/>
      <c r="K85" s="216"/>
      <c r="L85" s="216"/>
      <c r="M85" s="216"/>
      <c r="N85" s="213"/>
      <c r="O85" s="213"/>
    </row>
    <row r="86" spans="3:13" ht="15.75" customHeight="1">
      <c r="C86" s="87"/>
      <c r="F86" s="167"/>
      <c r="G86" s="220"/>
      <c r="H86" s="220"/>
      <c r="I86" s="139"/>
      <c r="J86" s="215"/>
      <c r="K86" s="215"/>
      <c r="L86" s="215"/>
      <c r="M86" s="215"/>
    </row>
    <row r="87" spans="2:13" ht="18.75" customHeight="1">
      <c r="B87" s="221" t="s">
        <v>57</v>
      </c>
      <c r="C87" s="222"/>
      <c r="D87" s="148">
        <v>300.92</v>
      </c>
      <c r="E87" s="74"/>
      <c r="F87" s="168"/>
      <c r="G87" s="214"/>
      <c r="H87" s="214"/>
      <c r="I87" s="141"/>
      <c r="J87" s="215"/>
      <c r="K87" s="215"/>
      <c r="L87" s="215"/>
      <c r="M87" s="215"/>
    </row>
    <row r="88" spans="6:12" ht="9.75" customHeight="1">
      <c r="F88" s="167"/>
      <c r="G88" s="214"/>
      <c r="H88" s="214"/>
      <c r="I88" s="73"/>
      <c r="J88" s="74"/>
      <c r="K88" s="74"/>
      <c r="L88" s="74"/>
    </row>
    <row r="89" spans="2:12" ht="22.5" customHeight="1" hidden="1">
      <c r="B89" s="217" t="s">
        <v>60</v>
      </c>
      <c r="C89" s="218"/>
      <c r="D89" s="86">
        <v>0</v>
      </c>
      <c r="E89" s="56" t="s">
        <v>24</v>
      </c>
      <c r="F89" s="167"/>
      <c r="G89" s="214"/>
      <c r="H89" s="214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14"/>
      <c r="O90" s="214"/>
    </row>
    <row r="91" spans="4:15" ht="15">
      <c r="D91" s="83"/>
      <c r="I91" s="31"/>
      <c r="N91" s="219"/>
      <c r="O91" s="219"/>
    </row>
    <row r="92" spans="14:15" ht="15">
      <c r="N92" s="214"/>
      <c r="O92" s="214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2016-03-29T09:45:56Z</cp:lastPrinted>
  <dcterms:created xsi:type="dcterms:W3CDTF">2003-07-28T11:27:56Z</dcterms:created>
  <dcterms:modified xsi:type="dcterms:W3CDTF">2016-03-29T10:02:13Z</dcterms:modified>
  <cp:category/>
  <cp:version/>
  <cp:contentType/>
  <cp:contentStatus/>
</cp:coreProperties>
</file>